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2390" windowHeight="9315" activeTab="0"/>
  </bookViews>
  <sheets>
    <sheet name="Data Entry" sheetId="1" r:id="rId1"/>
    <sheet name="Display" sheetId="2" r:id="rId2"/>
    <sheet name="Calculations" sheetId="3" r:id="rId3"/>
  </sheets>
  <definedNames>
    <definedName name="_xlnm.Print_Area" localSheetId="1">'Display'!$B$3:$P$49</definedName>
  </definedNames>
  <calcPr fullCalcOnLoad="1"/>
</workbook>
</file>

<file path=xl/sharedStrings.xml><?xml version="1.0" encoding="utf-8"?>
<sst xmlns="http://schemas.openxmlformats.org/spreadsheetml/2006/main" count="78" uniqueCount="49">
  <si>
    <t xml:space="preserve">1/100000 of a degree in feet @ </t>
  </si>
  <si>
    <t>Latitude</t>
  </si>
  <si>
    <t>equator</t>
  </si>
  <si>
    <t>1/100000 of a degree in feet @</t>
  </si>
  <si>
    <t>Y</t>
  </si>
  <si>
    <t>X</t>
  </si>
  <si>
    <t>= X =</t>
  </si>
  <si>
    <t>= Y =</t>
  </si>
  <si>
    <t>Longitude</t>
  </si>
  <si>
    <t>Buoy #</t>
  </si>
  <si>
    <t>T1</t>
  </si>
  <si>
    <t>T2</t>
  </si>
  <si>
    <t>Center</t>
  </si>
  <si>
    <t>Deviation in feet</t>
  </si>
  <si>
    <t>(given)</t>
  </si>
  <si>
    <t>Sample course laid out on East/West line (270/90deg (true)  heading)</t>
  </si>
  <si>
    <t>(Given)</t>
  </si>
  <si>
    <t>deg off equator</t>
  </si>
  <si>
    <t>=</t>
  </si>
  <si>
    <t>Radius ft to 2</t>
  </si>
  <si>
    <t>Radius angle</t>
  </si>
  <si>
    <t>Course front chute heading in degrees (true)</t>
  </si>
  <si>
    <t>Enter course front chute heading in degrees (true)</t>
  </si>
  <si>
    <t>Buoy2</t>
  </si>
  <si>
    <t>Buoy1</t>
  </si>
  <si>
    <t>Buoy3</t>
  </si>
  <si>
    <t>Buoy4</t>
  </si>
  <si>
    <t>Buoy5</t>
  </si>
  <si>
    <t>Buoy6</t>
  </si>
  <si>
    <t>Ent T1</t>
  </si>
  <si>
    <t>Course Ctr</t>
  </si>
  <si>
    <t>Enter Buoy #2 location in Degrees from GPS reading</t>
  </si>
  <si>
    <t>= constant # feet for 1/100000 (north/south) longitude degree</t>
  </si>
  <si>
    <t>= constant # feet for 1/100000 at given (east/west) latitude degree</t>
  </si>
  <si>
    <t>Distance between minutes at equator in feet</t>
  </si>
  <si>
    <t>Distance between degrees at equator in feet</t>
  </si>
  <si>
    <t>Constant data elements development</t>
  </si>
  <si>
    <t>COS of Buoy #2 Latitude</t>
  </si>
  <si>
    <t>Latitude =</t>
  </si>
  <si>
    <t>Calculations of course location for Graph only.</t>
  </si>
  <si>
    <t>Calculations of course buoy location for Display tab</t>
  </si>
  <si>
    <t>From buoy 2</t>
  </si>
  <si>
    <t>From Center buoy</t>
  </si>
  <si>
    <t>From 2 to other buoys</t>
  </si>
  <si>
    <t>Radius in ft</t>
  </si>
  <si>
    <t>North Latitude</t>
  </si>
  <si>
    <t>West Longitude</t>
  </si>
  <si>
    <t>Ent T2</t>
  </si>
  <si>
    <t>IMPBA Model Power Boat 1/6th Mile course Layout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</si>
</sst>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9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1" fontId="0" fillId="2" borderId="2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right"/>
      <protection hidden="1" locked="0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right"/>
    </xf>
    <xf numFmtId="49" fontId="0" fillId="4" borderId="0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165" fontId="0" fillId="0" borderId="0" xfId="0" applyNumberFormat="1" applyAlignment="1">
      <alignment/>
    </xf>
    <xf numFmtId="2" fontId="0" fillId="2" borderId="1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164" fontId="0" fillId="4" borderId="6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center"/>
    </xf>
    <xf numFmtId="0" fontId="0" fillId="2" borderId="8" xfId="0" applyFill="1" applyBorder="1" applyAlignment="1">
      <alignment/>
    </xf>
    <xf numFmtId="164" fontId="0" fillId="4" borderId="1" xfId="0" applyNumberFormat="1" applyFill="1" applyBorder="1" applyAlignment="1">
      <alignment/>
    </xf>
    <xf numFmtId="0" fontId="2" fillId="5" borderId="9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6175"/>
          <c:w val="0.893"/>
          <c:h val="0.8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Calculations!$E$51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T1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T2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Ctr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xVal>
            <c:numRef>
              <c:f>Calculations!$F$52:$F$60</c:f>
              <c:numCache>
                <c:ptCount val="9"/>
                <c:pt idx="0">
                  <c:v>-38.166569300193395</c:v>
                </c:pt>
                <c:pt idx="1">
                  <c:v>-65.84520588268256</c:v>
                </c:pt>
                <c:pt idx="2">
                  <c:v>2.8686969586539135</c:v>
                </c:pt>
                <c:pt idx="3">
                  <c:v>65.84520588268256</c:v>
                </c:pt>
                <c:pt idx="4">
                  <c:v>38.166569300193395</c:v>
                </c:pt>
                <c:pt idx="5">
                  <c:v>-2.8686969586539988</c:v>
                </c:pt>
                <c:pt idx="6">
                  <c:v>-50.19886826180589</c:v>
                </c:pt>
                <c:pt idx="7">
                  <c:v>49.244823284923136</c:v>
                </c:pt>
                <c:pt idx="8">
                  <c:v>0</c:v>
                </c:pt>
              </c:numCache>
            </c:numRef>
          </c:xVal>
          <c:yVal>
            <c:numRef>
              <c:f>Calculations!$G$52:$G$60</c:f>
              <c:numCache>
                <c:ptCount val="9"/>
                <c:pt idx="0">
                  <c:v>-196.349977369119</c:v>
                </c:pt>
                <c:pt idx="1">
                  <c:v>-155.31471111027167</c:v>
                </c:pt>
                <c:pt idx="2">
                  <c:v>-168.6713407866298</c:v>
                </c:pt>
                <c:pt idx="3">
                  <c:v>155.31471111027165</c:v>
                </c:pt>
                <c:pt idx="4">
                  <c:v>196.349977369119</c:v>
                </c:pt>
                <c:pt idx="5">
                  <c:v>168.67134078662977</c:v>
                </c:pt>
                <c:pt idx="6">
                  <c:v>-74.82128206756323</c:v>
                </c:pt>
                <c:pt idx="7">
                  <c:v>69.91314615032493</c:v>
                </c:pt>
                <c:pt idx="8">
                  <c:v>0</c:v>
                </c:pt>
              </c:numCache>
            </c:numRef>
          </c:yVal>
          <c:smooth val="0"/>
        </c:ser>
        <c:axId val="6487769"/>
        <c:axId val="58389922"/>
      </c:scatterChart>
      <c:valAx>
        <c:axId val="6487769"/>
        <c:scaling>
          <c:orientation val="maxMin"/>
          <c:max val="210"/>
          <c:min val="-210"/>
        </c:scaling>
        <c:axPos val="b"/>
        <c:delete val="1"/>
        <c:majorTickMark val="out"/>
        <c:minorTickMark val="none"/>
        <c:tickLblPos val="nextTo"/>
        <c:crossAx val="58389922"/>
        <c:crossesAt val="0"/>
        <c:crossBetween val="midCat"/>
        <c:dispUnits/>
        <c:majorUnit val="20"/>
        <c:minorUnit val="2"/>
      </c:valAx>
      <c:valAx>
        <c:axId val="58389922"/>
        <c:scaling>
          <c:orientation val="minMax"/>
          <c:max val="210"/>
          <c:min val="-210"/>
        </c:scaling>
        <c:axPos val="r"/>
        <c:delete val="1"/>
        <c:majorTickMark val="out"/>
        <c:minorTickMark val="none"/>
        <c:tickLblPos val="nextTo"/>
        <c:crossAx val="6487769"/>
        <c:crossesAt val="0"/>
        <c:crossBetween val="midCat"/>
        <c:dispUnits/>
        <c:majorUnit val="20"/>
        <c:minorUnit val="2"/>
      </c:valAx>
      <c:spPr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6</xdr:row>
      <xdr:rowOff>9525</xdr:rowOff>
    </xdr:from>
    <xdr:to>
      <xdr:col>5</xdr:col>
      <xdr:colOff>104775</xdr:colOff>
      <xdr:row>40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1475" y="981075"/>
          <a:ext cx="2781300" cy="5543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Directions: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1 - Determine desired location of Buoy #2 with GPS locator and note North Latitude and West Longitude in degrees (XX.xxxxx). 
2 - Determine desired compass direction (heading) of course front chute. 
3 - Enter Latitude and Longitude in degrees (XX.xxxxx) for Buoy #2 in the table.
4 - Enter desired front chute compass heading to orient course direction.  
5 - Place buoys according to calculated Lat/Lon.on "Display" tab.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Notes: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1 - GPS positions valid within +/- 2' for contenintal US locations. This method alone is not accurate enough for IMPBA record sanctioned course.  It will, however, place buoys close enough for practice courses.
2 - Graph on Display Tab is repsentation of course for compass orientation and chute direction purposes.  
3 - Display tab and Calculations tab are protected for consistancy. Data entry is allowed in the cells required for front chute course heading and Buoy. #2 Latitude and Longitude data on this tab.
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0.5</cdr:y>
    </cdr:from>
    <cdr:to>
      <cdr:x>0.04325</cdr:x>
      <cdr:y>0.5645</cdr:y>
    </cdr:to>
    <cdr:sp>
      <cdr:nvSpPr>
        <cdr:cNvPr id="1" name="AutoShape 4"/>
        <cdr:cNvSpPr>
          <a:spLocks/>
        </cdr:cNvSpPr>
      </cdr:nvSpPr>
      <cdr:spPr>
        <a:xfrm rot="16200000">
          <a:off x="47625" y="2809875"/>
          <a:ext cx="200025" cy="361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West</a:t>
          </a:r>
        </a:p>
      </cdr:txBody>
    </cdr:sp>
  </cdr:relSizeAnchor>
  <cdr:relSizeAnchor xmlns:cdr="http://schemas.openxmlformats.org/drawingml/2006/chartDrawing">
    <cdr:from>
      <cdr:x>0.47575</cdr:x>
      <cdr:y>0.015</cdr:y>
    </cdr:from>
    <cdr:to>
      <cdr:x>0.53825</cdr:x>
      <cdr:y>0.05225</cdr:y>
    </cdr:to>
    <cdr:sp>
      <cdr:nvSpPr>
        <cdr:cNvPr id="2" name="AutoShape 5"/>
        <cdr:cNvSpPr>
          <a:spLocks/>
        </cdr:cNvSpPr>
      </cdr:nvSpPr>
      <cdr:spPr>
        <a:xfrm>
          <a:off x="2733675" y="76200"/>
          <a:ext cx="361950" cy="209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North</a:t>
          </a:r>
        </a:p>
      </cdr:txBody>
    </cdr:sp>
  </cdr:relSizeAnchor>
  <cdr:relSizeAnchor xmlns:cdr="http://schemas.openxmlformats.org/drawingml/2006/chartDrawing">
    <cdr:from>
      <cdr:x>0.9575</cdr:x>
      <cdr:y>0.45925</cdr:y>
    </cdr:from>
    <cdr:to>
      <cdr:x>0.99325</cdr:x>
      <cdr:y>0.52025</cdr:y>
    </cdr:to>
    <cdr:sp>
      <cdr:nvSpPr>
        <cdr:cNvPr id="3" name="AutoShape 6"/>
        <cdr:cNvSpPr>
          <a:spLocks/>
        </cdr:cNvSpPr>
      </cdr:nvSpPr>
      <cdr:spPr>
        <a:xfrm rot="5400000">
          <a:off x="5505450" y="2571750"/>
          <a:ext cx="209550" cy="3429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East</a:t>
          </a:r>
        </a:p>
      </cdr:txBody>
    </cdr:sp>
  </cdr:relSizeAnchor>
  <cdr:relSizeAnchor xmlns:cdr="http://schemas.openxmlformats.org/drawingml/2006/chartDrawing">
    <cdr:from>
      <cdr:x>0.45075</cdr:x>
      <cdr:y>0.961</cdr:y>
    </cdr:from>
    <cdr:to>
      <cdr:x>0.5115</cdr:x>
      <cdr:y>0.997</cdr:y>
    </cdr:to>
    <cdr:sp>
      <cdr:nvSpPr>
        <cdr:cNvPr id="4" name="AutoShape 7"/>
        <cdr:cNvSpPr>
          <a:spLocks/>
        </cdr:cNvSpPr>
      </cdr:nvSpPr>
      <cdr:spPr>
        <a:xfrm>
          <a:off x="2590800" y="5391150"/>
          <a:ext cx="352425" cy="200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South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11</xdr:row>
      <xdr:rowOff>85725</xdr:rowOff>
    </xdr:from>
    <xdr:to>
      <xdr:col>15</xdr:col>
      <xdr:colOff>533400</xdr:colOff>
      <xdr:row>45</xdr:row>
      <xdr:rowOff>104775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6962775" y="1895475"/>
          <a:ext cx="2781300" cy="5524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Directions: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1 - Determine desired location of Buoy #2 with GPS locator and note North Latitude and West Longitude in degrees (XX.xxxxx). 
2 - Determine desired compass direction (heading) of course front chute. 
3 - Enter Latitude and Longitude in degrees (XX.xxxxx) for Buoy #2 in the table.
4 - Enter desired front chute compass heading to orient course direction.  
5 - Place buoys according to calculated Lat/Lon. 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Notes: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1 - GPS positions valid within +/- 2' for contenintal US locations. This method alone is not accurate enough for IMPBA record sanctioned course.  It will, however, place buoys close enough for practice courses
2 - Graph is repsentation of course for compass orientation and chute direction purposes only.  
3 - Display tab and Calculations tab are protected for consistancy. Data entry is allowed in the cells required for front chute course heading and Buoy #2 Latitude and Longitude 
 </a:t>
          </a:r>
        </a:p>
      </xdr:txBody>
    </xdr:sp>
    <xdr:clientData/>
  </xdr:twoCellAnchor>
  <xdr:twoCellAnchor>
    <xdr:from>
      <xdr:col>1</xdr:col>
      <xdr:colOff>314325</xdr:colOff>
      <xdr:row>10</xdr:row>
      <xdr:rowOff>152400</xdr:rowOff>
    </xdr:from>
    <xdr:to>
      <xdr:col>10</xdr:col>
      <xdr:colOff>514350</xdr:colOff>
      <xdr:row>45</xdr:row>
      <xdr:rowOff>104775</xdr:rowOff>
    </xdr:to>
    <xdr:graphicFrame>
      <xdr:nvGraphicFramePr>
        <xdr:cNvPr id="2" name="Chart 16"/>
        <xdr:cNvGraphicFramePr/>
      </xdr:nvGraphicFramePr>
      <xdr:xfrm>
        <a:off x="923925" y="1800225"/>
        <a:ext cx="57531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K18"/>
  <sheetViews>
    <sheetView tabSelected="1" workbookViewId="0" topLeftCell="A1">
      <selection activeCell="J24" sqref="J24"/>
    </sheetView>
  </sheetViews>
  <sheetFormatPr defaultColWidth="9.140625" defaultRowHeight="12.75"/>
  <sheetData>
    <row r="4" ht="12.75">
      <c r="E4" s="38" t="s">
        <v>48</v>
      </c>
    </row>
    <row r="12" ht="13.5" thickBot="1"/>
    <row r="13" spans="10:11" ht="13.5" thickBot="1">
      <c r="J13" s="1" t="s">
        <v>22</v>
      </c>
      <c r="K13" s="39">
        <v>169</v>
      </c>
    </row>
    <row r="15" ht="12.75">
      <c r="K15" s="1" t="s">
        <v>31</v>
      </c>
    </row>
    <row r="16" spans="10:11" ht="13.5" thickBot="1">
      <c r="J16" s="3"/>
      <c r="K16" s="31" t="s">
        <v>23</v>
      </c>
    </row>
    <row r="17" spans="9:11" ht="12.75">
      <c r="I17" s="33" t="s">
        <v>45</v>
      </c>
      <c r="J17" s="34"/>
      <c r="K17" s="29">
        <v>38.72741</v>
      </c>
    </row>
    <row r="18" spans="9:11" ht="12.75">
      <c r="I18" s="35" t="s">
        <v>46</v>
      </c>
      <c r="J18" s="36"/>
      <c r="K18" s="5">
        <v>77.23196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5:L9"/>
  <sheetViews>
    <sheetView workbookViewId="0" topLeftCell="A1">
      <selection activeCell="K11" sqref="K11"/>
    </sheetView>
  </sheetViews>
  <sheetFormatPr defaultColWidth="9.140625" defaultRowHeight="12.75"/>
  <cols>
    <col min="3" max="3" width="10.140625" style="0" bestFit="1" customWidth="1"/>
  </cols>
  <sheetData>
    <row r="4" ht="13.5" thickBot="1"/>
    <row r="5" spans="4:7" ht="13.5" thickBot="1">
      <c r="D5" s="2"/>
      <c r="F5" s="40" t="s">
        <v>21</v>
      </c>
      <c r="G5" s="7">
        <f>'Data Entry'!K13</f>
        <v>169</v>
      </c>
    </row>
    <row r="6" spans="4:6" ht="12.75">
      <c r="D6" s="2"/>
      <c r="F6" s="1"/>
    </row>
    <row r="7" spans="3:12" ht="13.5" thickBot="1">
      <c r="C7" s="3"/>
      <c r="D7" s="31" t="s">
        <v>23</v>
      </c>
      <c r="E7" s="32" t="s">
        <v>24</v>
      </c>
      <c r="F7" s="32" t="s">
        <v>25</v>
      </c>
      <c r="G7" s="32" t="s">
        <v>26</v>
      </c>
      <c r="H7" s="32" t="s">
        <v>27</v>
      </c>
      <c r="I7" s="32" t="s">
        <v>28</v>
      </c>
      <c r="J7" s="32" t="s">
        <v>29</v>
      </c>
      <c r="K7" s="32" t="s">
        <v>47</v>
      </c>
      <c r="L7" s="32" t="s">
        <v>30</v>
      </c>
    </row>
    <row r="8" spans="2:12" ht="12.75">
      <c r="B8" s="41" t="s">
        <v>45</v>
      </c>
      <c r="C8" s="42"/>
      <c r="D8" s="29">
        <f>'Data Entry'!K17</f>
        <v>38.72741</v>
      </c>
      <c r="E8" s="30">
        <f>Calculations!I35</f>
        <v>38.7275225589376</v>
      </c>
      <c r="F8" s="30">
        <f>Calculations!I36</f>
        <v>38.72748592196206</v>
      </c>
      <c r="G8" s="30">
        <f>Calculations!I37</f>
        <v>38.72837460940398</v>
      </c>
      <c r="H8" s="30">
        <f>Calculations!I38</f>
        <v>38.72848716834158</v>
      </c>
      <c r="I8" s="30">
        <f>Calculations!I39</f>
        <v>38.72841124637952</v>
      </c>
      <c r="J8" s="30">
        <f>Calculations!I40</f>
        <v>38.72774335084864</v>
      </c>
      <c r="K8" s="30">
        <f>Calculations!I41</f>
        <v>38.728140354571536</v>
      </c>
      <c r="L8" s="30">
        <f>Calculations!I42</f>
        <v>38.72794858417079</v>
      </c>
    </row>
    <row r="9" spans="2:12" ht="12.75">
      <c r="B9" s="43" t="s">
        <v>46</v>
      </c>
      <c r="C9" s="44"/>
      <c r="D9" s="5">
        <f>'Data Entry'!K18</f>
        <v>77.23196</v>
      </c>
      <c r="E9" s="30">
        <f>Calculations!H35</f>
        <v>77.23186268052149</v>
      </c>
      <c r="F9" s="30">
        <f>Calculations!H36</f>
        <v>77.2321042820603</v>
      </c>
      <c r="G9" s="30">
        <f>Calculations!H37</f>
        <v>77.23232571063352</v>
      </c>
      <c r="H9" s="30">
        <f>Calculations!H38</f>
        <v>77.232228391155</v>
      </c>
      <c r="I9" s="30">
        <f>Calculations!H39</f>
        <v>77.2320841090947</v>
      </c>
      <c r="J9" s="30">
        <f>Calculations!H40</f>
        <v>77.2319176938316</v>
      </c>
      <c r="K9" s="30">
        <f>Calculations!H41</f>
        <v>77.23226734285328</v>
      </c>
      <c r="L9" s="30">
        <f>Calculations!H42</f>
        <v>77.2320941955775</v>
      </c>
    </row>
  </sheetData>
  <sheetProtection password="F288" sheet="1" objects="1" scenarios="1"/>
  <protectedRanges>
    <protectedRange sqref="G3" name="Front chute heading"/>
    <protectedRange sqref="D8:D9" name="Buoy 2 Location"/>
  </protectedRanges>
  <mergeCells count="2">
    <mergeCell ref="B8:C8"/>
    <mergeCell ref="B9:C9"/>
  </mergeCells>
  <printOptions/>
  <pageMargins left="0" right="0.75" top="1" bottom="1" header="0.5" footer="0.5"/>
  <pageSetup fitToHeight="1" fitToWidth="1" horizontalDpi="600" verticalDpi="600" orientation="landscape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P60"/>
  <sheetViews>
    <sheetView workbookViewId="0" topLeftCell="A1">
      <selection activeCell="N21" sqref="N21"/>
    </sheetView>
  </sheetViews>
  <sheetFormatPr defaultColWidth="9.140625" defaultRowHeight="12.75"/>
  <cols>
    <col min="1" max="1" width="3.421875" style="0" customWidth="1"/>
    <col min="2" max="2" width="27.00390625" style="0" customWidth="1"/>
    <col min="3" max="5" width="9.28125" style="0" bestFit="1" customWidth="1"/>
    <col min="6" max="6" width="12.57421875" style="6" bestFit="1" customWidth="1"/>
    <col min="7" max="7" width="12.8515625" style="6" bestFit="1" customWidth="1"/>
    <col min="8" max="8" width="11.57421875" style="6" customWidth="1"/>
    <col min="9" max="9" width="12.7109375" style="6" bestFit="1" customWidth="1"/>
    <col min="12" max="12" width="9.57421875" style="0" bestFit="1" customWidth="1"/>
    <col min="13" max="13" width="10.57421875" style="0" bestFit="1" customWidth="1"/>
    <col min="14" max="14" width="14.57421875" style="0" bestFit="1" customWidth="1"/>
  </cols>
  <sheetData>
    <row r="1" ht="13.5" thickBot="1"/>
    <row r="2" spans="2:14" ht="13.5" thickBot="1">
      <c r="B2" s="45" t="s">
        <v>36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2:14" ht="12.75">
      <c r="B3" s="11"/>
      <c r="C3" s="12"/>
      <c r="D3" s="13" t="s">
        <v>34</v>
      </c>
      <c r="E3" s="14" t="s">
        <v>18</v>
      </c>
      <c r="F3" s="23">
        <v>6076.11549</v>
      </c>
      <c r="G3" s="23"/>
      <c r="H3" s="23"/>
      <c r="I3" s="23"/>
      <c r="J3" s="12"/>
      <c r="K3" s="12"/>
      <c r="L3" s="12"/>
      <c r="M3" s="12"/>
      <c r="N3" s="15"/>
    </row>
    <row r="4" spans="2:14" ht="12.75">
      <c r="B4" s="11"/>
      <c r="C4" s="12"/>
      <c r="D4" s="13" t="s">
        <v>35</v>
      </c>
      <c r="E4" s="14" t="s">
        <v>18</v>
      </c>
      <c r="F4" s="23">
        <f>F3*60</f>
        <v>364566.9294</v>
      </c>
      <c r="G4" s="23"/>
      <c r="H4" s="23"/>
      <c r="I4" s="23"/>
      <c r="J4" s="12"/>
      <c r="K4" s="12"/>
      <c r="L4" s="12"/>
      <c r="M4" s="12"/>
      <c r="N4" s="15"/>
    </row>
    <row r="5" spans="2:14" ht="12.75">
      <c r="B5" s="11"/>
      <c r="C5" s="13" t="s">
        <v>3</v>
      </c>
      <c r="D5" s="16" t="s">
        <v>2</v>
      </c>
      <c r="E5" s="14" t="s">
        <v>18</v>
      </c>
      <c r="F5" s="23">
        <f>F4/100000</f>
        <v>3.645669294</v>
      </c>
      <c r="G5" s="37" t="s">
        <v>7</v>
      </c>
      <c r="H5" s="23" t="s">
        <v>32</v>
      </c>
      <c r="I5" s="23"/>
      <c r="J5" s="12"/>
      <c r="K5" s="12"/>
      <c r="L5" s="12"/>
      <c r="M5" s="12"/>
      <c r="N5" s="15"/>
    </row>
    <row r="6" spans="2:14" ht="12.75">
      <c r="B6" s="11"/>
      <c r="C6" s="17" t="s">
        <v>0</v>
      </c>
      <c r="D6" s="12">
        <f>I34</f>
        <v>38.72741</v>
      </c>
      <c r="E6" s="14" t="s">
        <v>38</v>
      </c>
      <c r="F6" s="23">
        <f>F5*F7</f>
        <v>2.8441003802401177</v>
      </c>
      <c r="G6" s="37" t="s">
        <v>6</v>
      </c>
      <c r="H6" s="23" t="s">
        <v>33</v>
      </c>
      <c r="I6" s="23"/>
      <c r="J6" s="12"/>
      <c r="K6" s="12"/>
      <c r="L6" s="12"/>
      <c r="M6" s="12"/>
      <c r="N6" s="15"/>
    </row>
    <row r="7" spans="2:14" ht="12.75">
      <c r="B7" s="11"/>
      <c r="C7" s="12"/>
      <c r="D7" s="13" t="s">
        <v>37</v>
      </c>
      <c r="E7" s="14" t="s">
        <v>18</v>
      </c>
      <c r="F7" s="23">
        <f>COS($I$34*PI()/180)</f>
        <v>0.7801312052414915</v>
      </c>
      <c r="G7" s="23"/>
      <c r="H7" s="23"/>
      <c r="I7" s="23"/>
      <c r="J7" s="12"/>
      <c r="K7" s="12"/>
      <c r="L7" s="12"/>
      <c r="M7" s="12"/>
      <c r="N7" s="15"/>
    </row>
    <row r="8" spans="2:14" ht="12.75">
      <c r="B8" s="18"/>
      <c r="C8" s="19"/>
      <c r="D8" s="19"/>
      <c r="E8" s="19"/>
      <c r="F8" s="24"/>
      <c r="G8" s="24"/>
      <c r="H8" s="24"/>
      <c r="I8" s="24"/>
      <c r="J8" s="19"/>
      <c r="K8" s="19"/>
      <c r="L8" s="19"/>
      <c r="M8" s="19"/>
      <c r="N8" s="20"/>
    </row>
    <row r="9" spans="15:16" ht="12.75">
      <c r="O9" s="9"/>
      <c r="P9" s="9"/>
    </row>
    <row r="10" spans="15:16" ht="12.75">
      <c r="O10" s="10"/>
      <c r="P10" s="9"/>
    </row>
    <row r="11" spans="15:16" ht="12.75">
      <c r="O11" s="10"/>
      <c r="P11" s="9"/>
    </row>
    <row r="12" spans="3:16" ht="12.75">
      <c r="C12" s="8"/>
      <c r="D12" s="8" t="s">
        <v>15</v>
      </c>
      <c r="E12" s="8"/>
      <c r="F12" s="25"/>
      <c r="G12" s="25"/>
      <c r="H12" s="25"/>
      <c r="I12" s="25"/>
      <c r="J12" s="8"/>
      <c r="O12" s="10"/>
      <c r="P12" s="9"/>
    </row>
    <row r="13" spans="3:16" ht="12.75">
      <c r="C13" s="8"/>
      <c r="D13" s="8"/>
      <c r="E13" s="8"/>
      <c r="F13" s="25"/>
      <c r="G13" s="25"/>
      <c r="H13" s="25"/>
      <c r="I13" s="25"/>
      <c r="J13" s="8"/>
      <c r="O13" s="9"/>
      <c r="P13" s="9"/>
    </row>
    <row r="14" spans="3:10" ht="12.75">
      <c r="C14" s="8"/>
      <c r="D14" s="8" t="s">
        <v>13</v>
      </c>
      <c r="E14" s="8"/>
      <c r="F14" s="25"/>
      <c r="G14" s="25"/>
      <c r="H14" s="25" t="s">
        <v>8</v>
      </c>
      <c r="I14" s="25" t="s">
        <v>1</v>
      </c>
      <c r="J14" s="8"/>
    </row>
    <row r="15" spans="3:10" ht="12.75">
      <c r="C15" s="8" t="s">
        <v>9</v>
      </c>
      <c r="D15" s="8" t="s">
        <v>5</v>
      </c>
      <c r="E15" s="8" t="s">
        <v>4</v>
      </c>
      <c r="F15" s="25" t="s">
        <v>19</v>
      </c>
      <c r="G15" s="25" t="s">
        <v>20</v>
      </c>
      <c r="H15" s="25"/>
      <c r="I15" s="25"/>
      <c r="J15" s="8"/>
    </row>
    <row r="16" spans="3:10" ht="12.75">
      <c r="C16" s="8">
        <v>2</v>
      </c>
      <c r="D16" s="8">
        <v>0</v>
      </c>
      <c r="E16" s="8">
        <v>0</v>
      </c>
      <c r="F16" s="25">
        <v>0</v>
      </c>
      <c r="G16" s="25">
        <v>0</v>
      </c>
      <c r="H16" s="25">
        <v>77.17236</v>
      </c>
      <c r="I16" s="25">
        <v>38.79799</v>
      </c>
      <c r="J16" s="8" t="s">
        <v>14</v>
      </c>
    </row>
    <row r="17" spans="3:10" ht="12.75">
      <c r="C17" s="8">
        <v>1</v>
      </c>
      <c r="D17" s="8">
        <v>-35</v>
      </c>
      <c r="E17" s="8">
        <v>-35</v>
      </c>
      <c r="F17" s="25">
        <f aca="true" t="shared" si="0" ref="F17:F24">SQRT(D17*D17+E17*E17)</f>
        <v>49.49747468305833</v>
      </c>
      <c r="G17" s="25">
        <f aca="true" t="shared" si="1" ref="G17:G24">DEGREES(ASIN(E17/F17))</f>
        <v>-45</v>
      </c>
      <c r="H17" s="25">
        <f>((D17/$F$6)/100000)+$H$16</f>
        <v>77.17223693823944</v>
      </c>
      <c r="I17" s="25">
        <f>(E17/$F$5/100000)+$I$16</f>
        <v>38.79789399568041</v>
      </c>
      <c r="J17" s="8"/>
    </row>
    <row r="18" spans="3:14" ht="12.75">
      <c r="C18" s="8">
        <v>3</v>
      </c>
      <c r="D18" s="8">
        <v>-35</v>
      </c>
      <c r="E18" s="8">
        <v>35</v>
      </c>
      <c r="F18" s="25">
        <f t="shared" si="0"/>
        <v>49.49747468305833</v>
      </c>
      <c r="G18" s="25">
        <f t="shared" si="1"/>
        <v>45</v>
      </c>
      <c r="H18" s="25">
        <f aca="true" t="shared" si="2" ref="H18:H24">((D18/$F$6)/100000)+$H$16</f>
        <v>77.17223693823944</v>
      </c>
      <c r="I18" s="25">
        <f aca="true" t="shared" si="3" ref="I18:I24">(E18/$F$5/100000)+$I$16</f>
        <v>38.798086004319586</v>
      </c>
      <c r="J18" s="8"/>
      <c r="N18" s="21"/>
    </row>
    <row r="19" spans="3:10" ht="12.75">
      <c r="C19" s="8">
        <v>4</v>
      </c>
      <c r="D19" s="8">
        <v>-365.05</v>
      </c>
      <c r="E19" s="8">
        <v>35</v>
      </c>
      <c r="F19" s="25">
        <f t="shared" si="0"/>
        <v>366.72401407598056</v>
      </c>
      <c r="G19" s="25">
        <f t="shared" si="1"/>
        <v>5.476623068688718</v>
      </c>
      <c r="H19" s="25">
        <f t="shared" si="2"/>
        <v>77.17107646583736</v>
      </c>
      <c r="I19" s="25">
        <f t="shared" si="3"/>
        <v>38.798086004319586</v>
      </c>
      <c r="J19" s="8"/>
    </row>
    <row r="20" spans="3:10" ht="12.75">
      <c r="C20" s="8">
        <v>5</v>
      </c>
      <c r="D20" s="8">
        <v>-400.05</v>
      </c>
      <c r="E20" s="8">
        <v>0</v>
      </c>
      <c r="F20" s="25">
        <f t="shared" si="0"/>
        <v>400.05</v>
      </c>
      <c r="G20" s="25">
        <f t="shared" si="1"/>
        <v>0</v>
      </c>
      <c r="H20" s="25">
        <f t="shared" si="2"/>
        <v>77.1709534040768</v>
      </c>
      <c r="I20" s="25">
        <f t="shared" si="3"/>
        <v>38.79799</v>
      </c>
      <c r="J20" s="8"/>
    </row>
    <row r="21" spans="3:10" ht="12.75">
      <c r="C21" s="8">
        <v>6</v>
      </c>
      <c r="D21" s="8">
        <v>-365.05</v>
      </c>
      <c r="E21" s="8">
        <v>-35</v>
      </c>
      <c r="F21" s="25">
        <f t="shared" si="0"/>
        <v>366.72401407598056</v>
      </c>
      <c r="G21" s="25">
        <f t="shared" si="1"/>
        <v>-5.476623068688718</v>
      </c>
      <c r="H21" s="25">
        <f t="shared" si="2"/>
        <v>77.17107646583736</v>
      </c>
      <c r="I21" s="25">
        <f t="shared" si="3"/>
        <v>38.79789399568041</v>
      </c>
      <c r="J21" s="8"/>
    </row>
    <row r="22" spans="3:10" ht="12.75">
      <c r="C22" s="8" t="s">
        <v>10</v>
      </c>
      <c r="D22" s="8">
        <v>-117</v>
      </c>
      <c r="E22" s="8">
        <v>-35</v>
      </c>
      <c r="F22" s="25">
        <f t="shared" si="0"/>
        <v>122.12288892750614</v>
      </c>
      <c r="G22" s="25">
        <f t="shared" si="1"/>
        <v>-16.654306376923326</v>
      </c>
      <c r="H22" s="25">
        <f t="shared" si="2"/>
        <v>77.1719486221147</v>
      </c>
      <c r="I22" s="25">
        <f t="shared" si="3"/>
        <v>38.79789399568041</v>
      </c>
      <c r="J22" s="8"/>
    </row>
    <row r="23" spans="3:10" ht="12.75">
      <c r="C23" s="8" t="s">
        <v>11</v>
      </c>
      <c r="D23" s="8">
        <v>-278.05</v>
      </c>
      <c r="E23" s="8">
        <v>35</v>
      </c>
      <c r="F23" s="25">
        <f t="shared" si="0"/>
        <v>280.2441837041404</v>
      </c>
      <c r="G23" s="25">
        <f t="shared" si="1"/>
        <v>7.174466088792798</v>
      </c>
      <c r="H23" s="25">
        <f t="shared" si="2"/>
        <v>77.1713823622136</v>
      </c>
      <c r="I23" s="25">
        <f t="shared" si="3"/>
        <v>38.798086004319586</v>
      </c>
      <c r="J23" s="8"/>
    </row>
    <row r="24" spans="3:13" ht="12.75">
      <c r="C24" s="8" t="s">
        <v>12</v>
      </c>
      <c r="D24" s="8">
        <v>-200.025</v>
      </c>
      <c r="E24" s="8">
        <v>0</v>
      </c>
      <c r="F24" s="25">
        <f t="shared" si="0"/>
        <v>200.025</v>
      </c>
      <c r="G24" s="25">
        <f t="shared" si="1"/>
        <v>0</v>
      </c>
      <c r="H24" s="25">
        <f t="shared" si="2"/>
        <v>77.1716567020384</v>
      </c>
      <c r="I24" s="25">
        <f t="shared" si="3"/>
        <v>38.79799</v>
      </c>
      <c r="J24" s="8"/>
      <c r="M24" s="6"/>
    </row>
    <row r="25" spans="3:13" ht="12.75">
      <c r="C25" s="8"/>
      <c r="D25" s="8"/>
      <c r="E25" s="8"/>
      <c r="F25" s="25"/>
      <c r="G25" s="25"/>
      <c r="H25" s="25"/>
      <c r="I25" s="25"/>
      <c r="J25" s="8"/>
      <c r="M25" s="6"/>
    </row>
    <row r="26" ht="12.75">
      <c r="M26" s="6"/>
    </row>
    <row r="27" ht="12.75">
      <c r="M27" s="6"/>
    </row>
    <row r="28" spans="3:13" ht="12.75">
      <c r="C28" s="4"/>
      <c r="D28" s="4"/>
      <c r="E28" s="4"/>
      <c r="F28" s="27" t="s">
        <v>21</v>
      </c>
      <c r="G28" s="28">
        <f>Display!G5</f>
        <v>169</v>
      </c>
      <c r="H28" s="28" t="s">
        <v>18</v>
      </c>
      <c r="I28" s="28">
        <f>(G28+90)*-1</f>
        <v>-259</v>
      </c>
      <c r="J28" s="4" t="s">
        <v>17</v>
      </c>
      <c r="K28" s="4"/>
      <c r="M28" s="6"/>
    </row>
    <row r="29" ht="12.75">
      <c r="M29" s="6"/>
    </row>
    <row r="30" spans="3:13" ht="12.75">
      <c r="C30" s="4"/>
      <c r="D30" s="4"/>
      <c r="E30" s="4"/>
      <c r="F30" s="26" t="s">
        <v>40</v>
      </c>
      <c r="G30" s="5"/>
      <c r="H30" s="5"/>
      <c r="I30" s="5"/>
      <c r="J30" s="4"/>
      <c r="M30" s="6"/>
    </row>
    <row r="31" spans="3:13" ht="12.75">
      <c r="C31" s="4"/>
      <c r="D31" s="4"/>
      <c r="E31" s="4"/>
      <c r="F31" s="5"/>
      <c r="G31" s="5"/>
      <c r="H31" s="5"/>
      <c r="I31" s="5"/>
      <c r="J31" s="4"/>
      <c r="M31" s="6"/>
    </row>
    <row r="32" spans="3:13" ht="12.75">
      <c r="C32" s="4"/>
      <c r="D32" s="4" t="s">
        <v>13</v>
      </c>
      <c r="E32" s="4"/>
      <c r="F32" s="5"/>
      <c r="G32" s="5"/>
      <c r="H32" s="5"/>
      <c r="I32" s="5"/>
      <c r="J32" s="4"/>
      <c r="M32" s="6"/>
    </row>
    <row r="33" spans="3:10" ht="12.75">
      <c r="C33" s="4" t="s">
        <v>9</v>
      </c>
      <c r="D33" s="4" t="s">
        <v>5</v>
      </c>
      <c r="E33" s="4" t="s">
        <v>4</v>
      </c>
      <c r="F33" s="5" t="s">
        <v>19</v>
      </c>
      <c r="G33" s="5" t="s">
        <v>20</v>
      </c>
      <c r="H33" s="5" t="s">
        <v>8</v>
      </c>
      <c r="I33" s="5" t="s">
        <v>1</v>
      </c>
      <c r="J33" s="4"/>
    </row>
    <row r="34" spans="3:12" ht="12.75">
      <c r="C34" s="4">
        <v>2</v>
      </c>
      <c r="D34" s="22">
        <v>0</v>
      </c>
      <c r="E34" s="22">
        <v>0</v>
      </c>
      <c r="F34" s="5">
        <v>0</v>
      </c>
      <c r="G34" s="5">
        <v>0</v>
      </c>
      <c r="H34" s="5">
        <f>Display!D9</f>
        <v>77.23196</v>
      </c>
      <c r="I34" s="5">
        <f>Display!D8</f>
        <v>38.72741</v>
      </c>
      <c r="J34" s="4" t="s">
        <v>16</v>
      </c>
      <c r="K34" s="6"/>
      <c r="L34" s="6"/>
    </row>
    <row r="35" spans="3:12" ht="12.75">
      <c r="C35" s="4">
        <v>1</v>
      </c>
      <c r="D35" s="22">
        <f aca="true" t="shared" si="4" ref="D35:D42">(COS(G35*PI()/180)*F35)*-1</f>
        <v>-27.67863658248914</v>
      </c>
      <c r="E35" s="22">
        <f>SIN(G35*PI()/180)*F35</f>
        <v>41.03526625884733</v>
      </c>
      <c r="F35" s="5">
        <v>49.49747468305833</v>
      </c>
      <c r="G35" s="5">
        <f aca="true" t="shared" si="5" ref="G35:G42">G17+$I$28</f>
        <v>-304</v>
      </c>
      <c r="H35" s="5">
        <f>((D35/$F$6)/100000)+$H$34</f>
        <v>77.23186268052149</v>
      </c>
      <c r="I35" s="5">
        <f>(E35/$F$5/100000)+$I$34</f>
        <v>38.7275225589376</v>
      </c>
      <c r="J35" s="4"/>
      <c r="K35" s="6"/>
      <c r="L35" s="6"/>
    </row>
    <row r="36" spans="3:12" ht="12.75">
      <c r="C36" s="4">
        <v>3</v>
      </c>
      <c r="D36" s="22">
        <f t="shared" si="4"/>
        <v>41.035266258847315</v>
      </c>
      <c r="E36" s="22">
        <f aca="true" t="shared" si="6" ref="E36:E42">SIN(G36*PI()/180)*F36</f>
        <v>27.678636582489165</v>
      </c>
      <c r="F36" s="5">
        <v>49.49747468305833</v>
      </c>
      <c r="G36" s="5">
        <f t="shared" si="5"/>
        <v>-214</v>
      </c>
      <c r="H36" s="5">
        <f aca="true" t="shared" si="7" ref="H36:H42">((D36/$F$6)/100000)+$H$34</f>
        <v>77.2321042820603</v>
      </c>
      <c r="I36" s="5">
        <f aca="true" t="shared" si="8" ref="I36:I42">(E36/$F$5/100000)+$I$34</f>
        <v>38.72748592196206</v>
      </c>
      <c r="J36" s="4"/>
      <c r="K36" s="6"/>
      <c r="L36" s="6"/>
    </row>
    <row r="37" spans="3:12" ht="12.75">
      <c r="C37" s="4">
        <v>4</v>
      </c>
      <c r="D37" s="22">
        <f t="shared" si="4"/>
        <v>104.01177518287608</v>
      </c>
      <c r="E37" s="22">
        <f t="shared" si="6"/>
        <v>351.6646884793906</v>
      </c>
      <c r="F37" s="5">
        <v>366.72401407598056</v>
      </c>
      <c r="G37" s="5">
        <f t="shared" si="5"/>
        <v>-253.52337693131128</v>
      </c>
      <c r="H37" s="5">
        <f t="shared" si="7"/>
        <v>77.23232571063352</v>
      </c>
      <c r="I37" s="5">
        <f t="shared" si="8"/>
        <v>38.72837460940398</v>
      </c>
      <c r="J37" s="4"/>
      <c r="K37" s="6"/>
      <c r="L37" s="6"/>
    </row>
    <row r="38" spans="3:12" ht="12.75">
      <c r="C38" s="4">
        <v>5</v>
      </c>
      <c r="D38" s="22">
        <f t="shared" si="4"/>
        <v>76.33313860038702</v>
      </c>
      <c r="E38" s="22">
        <f t="shared" si="6"/>
        <v>392.6999547382379</v>
      </c>
      <c r="F38" s="5">
        <v>400.05</v>
      </c>
      <c r="G38" s="5">
        <f t="shared" si="5"/>
        <v>-259</v>
      </c>
      <c r="H38" s="5">
        <f t="shared" si="7"/>
        <v>77.232228391155</v>
      </c>
      <c r="I38" s="5">
        <f t="shared" si="8"/>
        <v>38.72848716834158</v>
      </c>
      <c r="J38" s="4"/>
      <c r="K38" s="6"/>
      <c r="L38" s="6"/>
    </row>
    <row r="39" spans="3:12" ht="12.75">
      <c r="C39" s="4">
        <v>6</v>
      </c>
      <c r="D39" s="22">
        <f t="shared" si="4"/>
        <v>35.29787234153944</v>
      </c>
      <c r="E39" s="22">
        <f t="shared" si="6"/>
        <v>365.02131815574876</v>
      </c>
      <c r="F39" s="5">
        <v>366.72401407598056</v>
      </c>
      <c r="G39" s="5">
        <f t="shared" si="5"/>
        <v>-264.4766230686887</v>
      </c>
      <c r="H39" s="5">
        <f t="shared" si="7"/>
        <v>77.2320841090947</v>
      </c>
      <c r="I39" s="5">
        <f t="shared" si="8"/>
        <v>38.72841124637952</v>
      </c>
      <c r="J39" s="4"/>
      <c r="K39" s="6"/>
      <c r="L39" s="6"/>
    </row>
    <row r="40" spans="3:12" ht="12.75">
      <c r="C40" s="4" t="s">
        <v>10</v>
      </c>
      <c r="D40" s="22">
        <f t="shared" si="4"/>
        <v>-12.032298961612511</v>
      </c>
      <c r="E40" s="22">
        <f t="shared" si="6"/>
        <v>121.52869530155576</v>
      </c>
      <c r="F40" s="5">
        <v>122.12288892750614</v>
      </c>
      <c r="G40" s="5">
        <f t="shared" si="5"/>
        <v>-275.65430637692333</v>
      </c>
      <c r="H40" s="5">
        <f t="shared" si="7"/>
        <v>77.2319176938316</v>
      </c>
      <c r="I40" s="5">
        <f t="shared" si="8"/>
        <v>38.72774335084864</v>
      </c>
      <c r="J40" s="4"/>
      <c r="K40" s="6"/>
      <c r="L40" s="6"/>
    </row>
    <row r="41" spans="3:12" ht="12.75">
      <c r="C41" s="4" t="s">
        <v>11</v>
      </c>
      <c r="D41" s="22">
        <f t="shared" si="4"/>
        <v>87.4113925851165</v>
      </c>
      <c r="E41" s="22">
        <f t="shared" si="6"/>
        <v>266.2631235194439</v>
      </c>
      <c r="F41" s="5">
        <v>280.2441837041404</v>
      </c>
      <c r="G41" s="5">
        <f t="shared" si="5"/>
        <v>-251.8255339112072</v>
      </c>
      <c r="H41" s="5">
        <f t="shared" si="7"/>
        <v>77.23226734285328</v>
      </c>
      <c r="I41" s="5">
        <f t="shared" si="8"/>
        <v>38.728140354571536</v>
      </c>
      <c r="J41" s="4"/>
      <c r="K41" s="6"/>
      <c r="L41" s="6"/>
    </row>
    <row r="42" spans="3:12" ht="12.75">
      <c r="C42" s="4" t="s">
        <v>12</v>
      </c>
      <c r="D42" s="22">
        <f t="shared" si="4"/>
        <v>38.16656930019351</v>
      </c>
      <c r="E42" s="22">
        <f t="shared" si="6"/>
        <v>196.34997736911896</v>
      </c>
      <c r="F42" s="5">
        <v>200.025</v>
      </c>
      <c r="G42" s="5">
        <f t="shared" si="5"/>
        <v>-259</v>
      </c>
      <c r="H42" s="5">
        <f t="shared" si="7"/>
        <v>77.2320941955775</v>
      </c>
      <c r="I42" s="5">
        <f t="shared" si="8"/>
        <v>38.72794858417079</v>
      </c>
      <c r="J42" s="4"/>
      <c r="K42" s="6"/>
      <c r="L42" s="6"/>
    </row>
    <row r="47" spans="3:9" ht="12.75">
      <c r="C47" s="4"/>
      <c r="D47" s="4"/>
      <c r="E47" s="4"/>
      <c r="F47" s="26" t="s">
        <v>39</v>
      </c>
      <c r="G47" s="5"/>
      <c r="H47" s="5"/>
      <c r="I47" s="5">
        <f>(G28-90)*-1</f>
        <v>-79</v>
      </c>
    </row>
    <row r="48" spans="3:9" ht="12.75">
      <c r="C48" s="4"/>
      <c r="D48" s="4"/>
      <c r="E48" s="4"/>
      <c r="F48" s="26"/>
      <c r="G48" s="5"/>
      <c r="H48" s="5"/>
      <c r="I48" s="5"/>
    </row>
    <row r="49" spans="3:9" ht="12.75">
      <c r="C49" s="4"/>
      <c r="D49" s="48" t="s">
        <v>13</v>
      </c>
      <c r="E49" s="50"/>
      <c r="F49" s="50"/>
      <c r="G49" s="49"/>
      <c r="H49" s="5"/>
      <c r="I49" s="5"/>
    </row>
    <row r="50" spans="3:9" ht="12.75">
      <c r="C50" s="4"/>
      <c r="D50" s="48" t="s">
        <v>41</v>
      </c>
      <c r="E50" s="49"/>
      <c r="F50" s="48" t="s">
        <v>42</v>
      </c>
      <c r="G50" s="49"/>
      <c r="H50" s="51" t="s">
        <v>43</v>
      </c>
      <c r="I50" s="52"/>
    </row>
    <row r="51" spans="3:9" ht="12.75">
      <c r="C51" s="4" t="s">
        <v>9</v>
      </c>
      <c r="D51" s="4" t="s">
        <v>5</v>
      </c>
      <c r="E51" s="4" t="s">
        <v>4</v>
      </c>
      <c r="F51" s="5" t="s">
        <v>5</v>
      </c>
      <c r="G51" s="5" t="s">
        <v>4</v>
      </c>
      <c r="H51" s="5" t="s">
        <v>44</v>
      </c>
      <c r="I51" s="5" t="s">
        <v>20</v>
      </c>
    </row>
    <row r="52" spans="3:9" ht="12.75">
      <c r="C52" s="4">
        <v>2</v>
      </c>
      <c r="D52" s="22">
        <v>0</v>
      </c>
      <c r="E52" s="22">
        <v>0</v>
      </c>
      <c r="F52" s="5">
        <f>D52-$D$60</f>
        <v>-38.166569300193395</v>
      </c>
      <c r="G52" s="5">
        <f>E52-$E$60</f>
        <v>-196.349977369119</v>
      </c>
      <c r="H52" s="5">
        <v>0</v>
      </c>
      <c r="I52" s="5">
        <v>0</v>
      </c>
    </row>
    <row r="53" spans="3:9" ht="12.75">
      <c r="C53" s="4">
        <v>1</v>
      </c>
      <c r="D53" s="22">
        <f>(COS(I53*PI()/180)*H53)</f>
        <v>-27.678636582489165</v>
      </c>
      <c r="E53" s="22">
        <f>SIN(I53*PI()/180)*H53*-1</f>
        <v>41.03526625884731</v>
      </c>
      <c r="F53" s="5">
        <f aca="true" t="shared" si="9" ref="F53:F60">D53-$D$60</f>
        <v>-65.84520588268256</v>
      </c>
      <c r="G53" s="5">
        <f aca="true" t="shared" si="10" ref="G53:G60">E53-$E$60</f>
        <v>-155.31471111027167</v>
      </c>
      <c r="H53" s="5">
        <v>49.49747468305833</v>
      </c>
      <c r="I53" s="5">
        <f>G17+$I$47</f>
        <v>-124</v>
      </c>
    </row>
    <row r="54" spans="3:9" ht="12.75">
      <c r="C54" s="4">
        <v>3</v>
      </c>
      <c r="D54" s="22">
        <f aca="true" t="shared" si="11" ref="D54:D60">(COS(I54*PI()/180)*H54)</f>
        <v>41.03526625884731</v>
      </c>
      <c r="E54" s="22">
        <f aca="true" t="shared" si="12" ref="E54:E60">SIN(I54*PI()/180)*H54*-1</f>
        <v>27.678636582489176</v>
      </c>
      <c r="F54" s="5">
        <f t="shared" si="9"/>
        <v>2.8686969586539135</v>
      </c>
      <c r="G54" s="5">
        <f t="shared" si="10"/>
        <v>-168.6713407866298</v>
      </c>
      <c r="H54" s="5">
        <v>49.49747468305833</v>
      </c>
      <c r="I54" s="5">
        <f aca="true" t="shared" si="13" ref="I54:I60">G18+$I$47</f>
        <v>-34</v>
      </c>
    </row>
    <row r="55" spans="3:9" ht="12.75">
      <c r="C55" s="4">
        <v>4</v>
      </c>
      <c r="D55" s="22">
        <f t="shared" si="11"/>
        <v>104.01177518287595</v>
      </c>
      <c r="E55" s="22">
        <f t="shared" si="12"/>
        <v>351.66468847939063</v>
      </c>
      <c r="F55" s="5">
        <f t="shared" si="9"/>
        <v>65.84520588268256</v>
      </c>
      <c r="G55" s="5">
        <f t="shared" si="10"/>
        <v>155.31471111027165</v>
      </c>
      <c r="H55" s="5">
        <v>366.72401407598056</v>
      </c>
      <c r="I55" s="5">
        <f t="shared" si="13"/>
        <v>-73.52337693131128</v>
      </c>
    </row>
    <row r="56" spans="3:9" ht="12.75">
      <c r="C56" s="4">
        <v>5</v>
      </c>
      <c r="D56" s="22">
        <f t="shared" si="11"/>
        <v>76.33313860038679</v>
      </c>
      <c r="E56" s="22">
        <f t="shared" si="12"/>
        <v>392.699954738238</v>
      </c>
      <c r="F56" s="5">
        <f t="shared" si="9"/>
        <v>38.166569300193395</v>
      </c>
      <c r="G56" s="5">
        <f t="shared" si="10"/>
        <v>196.349977369119</v>
      </c>
      <c r="H56" s="5">
        <v>400.05</v>
      </c>
      <c r="I56" s="5">
        <f t="shared" si="13"/>
        <v>-79</v>
      </c>
    </row>
    <row r="57" spans="3:9" ht="12.75">
      <c r="C57" s="4">
        <v>6</v>
      </c>
      <c r="D57" s="22">
        <f t="shared" si="11"/>
        <v>35.297872341539396</v>
      </c>
      <c r="E57" s="22">
        <f t="shared" si="12"/>
        <v>365.02131815574876</v>
      </c>
      <c r="F57" s="5">
        <f t="shared" si="9"/>
        <v>-2.8686969586539988</v>
      </c>
      <c r="G57" s="5">
        <f t="shared" si="10"/>
        <v>168.67134078662977</v>
      </c>
      <c r="H57" s="5">
        <v>366.72401407598056</v>
      </c>
      <c r="I57" s="5">
        <f t="shared" si="13"/>
        <v>-84.47662306868872</v>
      </c>
    </row>
    <row r="58" spans="3:9" ht="12.75">
      <c r="C58" s="4" t="s">
        <v>10</v>
      </c>
      <c r="D58" s="22">
        <f t="shared" si="11"/>
        <v>-12.032298961612499</v>
      </c>
      <c r="E58" s="22">
        <f t="shared" si="12"/>
        <v>121.52869530155576</v>
      </c>
      <c r="F58" s="5">
        <f t="shared" si="9"/>
        <v>-50.19886826180589</v>
      </c>
      <c r="G58" s="5">
        <f t="shared" si="10"/>
        <v>-74.82128206756323</v>
      </c>
      <c r="H58" s="5">
        <v>122.12288892750614</v>
      </c>
      <c r="I58" s="5">
        <f t="shared" si="13"/>
        <v>-95.65430637692333</v>
      </c>
    </row>
    <row r="59" spans="3:9" ht="12.75">
      <c r="C59" s="4" t="s">
        <v>11</v>
      </c>
      <c r="D59" s="22">
        <f t="shared" si="11"/>
        <v>87.41139258511653</v>
      </c>
      <c r="E59" s="22">
        <f t="shared" si="12"/>
        <v>266.2631235194439</v>
      </c>
      <c r="F59" s="5">
        <f t="shared" si="9"/>
        <v>49.244823284923136</v>
      </c>
      <c r="G59" s="5">
        <f t="shared" si="10"/>
        <v>69.91314615032493</v>
      </c>
      <c r="H59" s="5">
        <v>280.2441837041404</v>
      </c>
      <c r="I59" s="5">
        <f t="shared" si="13"/>
        <v>-71.8255339112072</v>
      </c>
    </row>
    <row r="60" spans="3:9" ht="12.75">
      <c r="C60" s="4" t="s">
        <v>12</v>
      </c>
      <c r="D60" s="22">
        <f t="shared" si="11"/>
        <v>38.166569300193395</v>
      </c>
      <c r="E60" s="22">
        <f t="shared" si="12"/>
        <v>196.349977369119</v>
      </c>
      <c r="F60" s="5">
        <f t="shared" si="9"/>
        <v>0</v>
      </c>
      <c r="G60" s="5">
        <f t="shared" si="10"/>
        <v>0</v>
      </c>
      <c r="H60" s="5">
        <v>200.025</v>
      </c>
      <c r="I60" s="5">
        <f t="shared" si="13"/>
        <v>-79</v>
      </c>
    </row>
  </sheetData>
  <sheetProtection password="F288" sheet="1" objects="1" scenarios="1"/>
  <mergeCells count="5">
    <mergeCell ref="B2:N2"/>
    <mergeCell ref="F50:G50"/>
    <mergeCell ref="D49:G49"/>
    <mergeCell ref="D50:E50"/>
    <mergeCell ref="H50:I5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fmintz</cp:lastModifiedBy>
  <cp:lastPrinted>2004-07-16T21:19:46Z</cp:lastPrinted>
  <dcterms:created xsi:type="dcterms:W3CDTF">2004-06-30T19:22:07Z</dcterms:created>
  <dcterms:modified xsi:type="dcterms:W3CDTF">2006-06-26T18:52:02Z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-814153823</vt:i4>
  </property>
  <property fmtid="{D5CDD505-2E9C-101B-9397-08002B2CF9AE}" pid="3" name="_EmailSubject">
    <vt:lpwstr>onesixthmilecoursebuoyplacementcorrecteddatanewchartsource.xls</vt:lpwstr>
  </property>
  <property fmtid="{D5CDD505-2E9C-101B-9397-08002B2CF9AE}" pid="4" name="_AuthorEmail">
    <vt:lpwstr>Frank_Mintz@raytheon.com</vt:lpwstr>
  </property>
  <property fmtid="{D5CDD505-2E9C-101B-9397-08002B2CF9AE}" pid="5" name="_AuthorEmailDisplayName">
    <vt:lpwstr>Mintz, Frank</vt:lpwstr>
  </property>
  <property fmtid="{D5CDD505-2E9C-101B-9397-08002B2CF9AE}" pid="6" name="_PreviousAdHocReviewCycleID">
    <vt:i4>-338390491</vt:i4>
  </property>
  <property fmtid="{D5CDD505-2E9C-101B-9397-08002B2CF9AE}" pid="7" name="_ReviewingToolsShownOnce">
    <vt:lpwstr/>
  </property>
</Properties>
</file>